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<sst xmlns="http://schemas.openxmlformats.org/spreadsheetml/2006/main" count="707" uniqueCount="236">
  <si>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</si>
  <si>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</si>
  <si>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</si>
  <si>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</si>
  <si>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</si>
  <si>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</si>
  <si>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</si>
  <si>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</si>
  <si>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</si>
  <si>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</si>
  <si>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</si>
  <si>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</si>
  <si>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</si>
  <si>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</si>
  <si>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</si>
  <si>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</si>
  <si>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</si>
  <si>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</si>
  <si>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</si>
  <si>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</si>
  <si>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</si>
  <si>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</si>
  <si>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</si>
  <si>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</si>
  <si>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</si>
  <si>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</si>
  <si>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</si>
  <si>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</si>
  <si>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</si>
  <si>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</si>
  <si>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</si>
  <si>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</si>
  <si>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</si>
  <si>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</si>
  <si>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</si>
  <si>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</si>
  <si>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</si>
  <si>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</si>
  <si>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</si>
  <si>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</si>
  <si>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</si>
  <si>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</si>
  <si>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</si>
  <si>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</si>
  <si>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</si>
  <si>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</si>
  <si>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</si>
  <si>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</si>
  <si>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</si>
  <si>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</si>
  <si>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</si>
  <si>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</si>
  <si>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</si>
  <si>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</si>
  <si>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</si>
  <si>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</si>
  <si>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</si>
  <si>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</si>
  <si>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</si>
  <si>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</si>
  <si>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</si>
  <si>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</si>
  <si>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</si>
  <si>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</si>
  <si>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</si>
  <si>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</si>
  <si>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</si>
  <si>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</si>
  <si>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</si>
  <si>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</si>
  <si>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</si>
  <si>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</si>
  <si>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</si>
  <si>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</si>
  <si>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</si>
  <si>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</si>
  <si>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</si>
  <si>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</si>
  <si>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</si>
  <si>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</si>
  <si>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</si>
  <si>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</si>
  <si>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</si>
  <si>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</si>
  <si>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</si>
  <si>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</si>
  <si>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</si>
  <si>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</si>
  <si>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</si>
  <si>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</si>
  <si>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</si>
  <si>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</si>
  <si>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</si>
  <si>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</si>
  <si>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</si>
  <si>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</si>
  <si>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</si>
  <si>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</si>
  <si>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</si>
  <si>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</si>
  <si>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</si>
  <si>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</si>
  <si>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</si>
  <si>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</si>
  <si>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</si>
  <si>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</si>
  <si>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</si>
  <si>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</si>
  <si>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</si>
  <si>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</si>
  <si>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</si>
  <si>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</si>
  <si>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</si>
  <si>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</si>
  <si>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</si>
  <si>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</si>
  <si>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</si>
  <si>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</si>
  <si>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</si>
  <si>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</si>
  <si>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</si>
  <si>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</si>
  <si>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</si>
  <si>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</si>
  <si>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</si>
  <si>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</si>
  <si>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</si>
  <si>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</si>
  <si>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</si>
  <si>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</si>
  <si>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</si>
  <si>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</si>
  <si>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</si>
  <si>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</si>
  <si>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</si>
  <si>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</si>
  <si>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</si>
  <si>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</si>
  <si>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</si>
  <si>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</si>
  <si>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</si>
  <si>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</si>
  <si>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</si>
  <si>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</si>
  <si>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</si>
  <si>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</si>
  <si>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</si>
  <si>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</si>
  <si>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</si>
  <si>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</si>
  <si>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</si>
  <si>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</si>
  <si>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</si>
  <si>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</si>
  <si>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</si>
  <si>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</si>
  <si>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</si>
  <si>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</si>
  <si>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</si>
  <si>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</si>
  <si>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</si>
  <si>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</si>
  <si>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</si>
  <si>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</si>
  <si>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</si>
  <si>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</si>
  <si>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</si>
  <si>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</si>
  <si>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</si>
  <si>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</si>
  <si>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</si>
  <si>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</si>
  <si>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</si>
  <si>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</si>
  <si>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</si>
  <si>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</si>
  <si>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</si>
  <si>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</si>
  <si>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</si>
  <si>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</si>
  <si>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</si>
  <si>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</si>
  <si>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</si>
  <si>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</si>
  <si>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</si>
  <si>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</si>
  <si>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</si>
  <si>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</si>
  <si>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</si>
  <si>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</si>
  <si>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</si>
  <si>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</si>
  <si>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</si>
  <si>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</si>
  <si>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</si>
  <si>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</si>
  <si>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</si>
  <si>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</si>
  <si>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</si>
  <si>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</si>
  <si>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</si>
  <si>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</si>
  <si>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</si>
  <si>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</si>
  <si>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</si>
  <si>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</si>
  <si>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</si>
  <si>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</si>
  <si>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</si>
  <si>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</si>
  <si>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</si>
  <si>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</si>
  <si>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</si>
  <si>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</si>
  <si>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</si>
  <si>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</si>
  <si>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</si>
  <si>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</si>
  <si>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</si>
  <si>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</si>
  <si>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</si>
  <si>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</si>
  <si>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</si>
  <si>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</si>
  <si>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</si>
  <si>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</si>
  <si>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</si>
  <si>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</si>
  <si>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</si>
  <si>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</si>
  <si>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</si>
  <si>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</si>
  <si>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</si>
  <si>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</si>
  <si>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11.03.2015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</si>
  <si>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10.03.15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</si>
</sst>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7" sqref="H11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234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/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231</v>
      </c>
      <c r="N3" s="194" t="s">
        <v>232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228</v>
      </c>
      <c r="F4" s="199" t="s">
        <v>116</v>
      </c>
      <c r="G4" s="201" t="s">
        <v>229</v>
      </c>
      <c r="H4" s="203" t="s">
        <v>230</v>
      </c>
      <c r="I4" s="205" t="s">
        <v>217</v>
      </c>
      <c r="J4" s="192" t="s">
        <v>218</v>
      </c>
      <c r="K4" s="116" t="s">
        <v>172</v>
      </c>
      <c r="L4" s="121" t="s">
        <v>171</v>
      </c>
      <c r="M4" s="192"/>
      <c r="N4" s="211" t="s">
        <v>235</v>
      </c>
      <c r="O4" s="205" t="s">
        <v>136</v>
      </c>
      <c r="P4" s="213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04"/>
      <c r="I5" s="206"/>
      <c r="J5" s="193"/>
      <c r="K5" s="197" t="s">
        <v>233</v>
      </c>
      <c r="L5" s="198"/>
      <c r="M5" s="193"/>
      <c r="N5" s="212"/>
      <c r="O5" s="206"/>
      <c r="P5" s="213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117095.99999999999</v>
      </c>
      <c r="F8" s="18">
        <f>F10+F19+F30+F33+F34+F42</f>
        <v>104281.30000000002</v>
      </c>
      <c r="G8" s="18">
        <f aca="true" t="shared" si="0" ref="G8:G42">F8-E8</f>
        <v>-12814.699999999968</v>
      </c>
      <c r="H8" s="45">
        <f>F8/E8*100</f>
        <v>89.05624444899914</v>
      </c>
      <c r="I8" s="31">
        <f aca="true" t="shared" si="1" ref="I8:I42">F8-D8</f>
        <v>-413147.69999999995</v>
      </c>
      <c r="J8" s="31">
        <f aca="true" t="shared" si="2" ref="J8:J14">F8/D8*100</f>
        <v>20.153740899717647</v>
      </c>
      <c r="K8" s="18">
        <f>K10+K19+K30+K33+K34+K42</f>
        <v>-8517.818</v>
      </c>
      <c r="L8" s="18"/>
      <c r="M8" s="18">
        <f>M10+M19+M30+M33+M34+M42</f>
        <v>37988</v>
      </c>
      <c r="N8" s="18">
        <f>N10+N19+N30+N33+N34+N42</f>
        <v>12926.900000000021</v>
      </c>
      <c r="O8" s="31">
        <f aca="true" t="shared" si="3" ref="O8:O45">N8-M8</f>
        <v>-25061.099999999977</v>
      </c>
      <c r="P8" s="31">
        <f>F8/M8*100</f>
        <v>274.51116141939565</v>
      </c>
      <c r="Q8" s="31">
        <f>N8-33748.16</f>
        <v>-20821.25999999998</v>
      </c>
      <c r="R8" s="125">
        <f>N8/33748.16</f>
        <v>0.38304014204033704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58960.37</v>
      </c>
      <c r="G9" s="18">
        <f t="shared" si="0"/>
        <v>58960.37</v>
      </c>
      <c r="H9" s="16"/>
      <c r="I9" s="50">
        <f t="shared" si="1"/>
        <v>-253729.63</v>
      </c>
      <c r="J9" s="50">
        <f t="shared" si="2"/>
        <v>18.85585404074323</v>
      </c>
      <c r="K9" s="50"/>
      <c r="L9" s="50"/>
      <c r="M9" s="16">
        <f>M10+M17</f>
        <v>25121.999999999993</v>
      </c>
      <c r="N9" s="16">
        <f>N10+N17</f>
        <v>9272.880000000005</v>
      </c>
      <c r="O9" s="31">
        <f t="shared" si="3"/>
        <v>-15849.119999999988</v>
      </c>
      <c r="P9" s="50">
        <f>F9/M9*100</f>
        <v>234.6961627258977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70051.4</v>
      </c>
      <c r="F10" s="143">
        <v>58960.37</v>
      </c>
      <c r="G10" s="43">
        <f t="shared" si="0"/>
        <v>-11091.029999999992</v>
      </c>
      <c r="H10" s="35">
        <f aca="true" t="shared" si="4" ref="H10:H42">F10/E10*100</f>
        <v>84.16729715608825</v>
      </c>
      <c r="I10" s="50">
        <f t="shared" si="1"/>
        <v>-253729.63</v>
      </c>
      <c r="J10" s="50">
        <f t="shared" si="2"/>
        <v>18.85585404074323</v>
      </c>
      <c r="K10" s="132">
        <f>F10-86046.61/75*60</f>
        <v>-9876.917999999998</v>
      </c>
      <c r="L10" s="132">
        <f>F10/(86046.61/75*60)*100</f>
        <v>85.6517909305201</v>
      </c>
      <c r="M10" s="35">
        <f>E10-лютий!E10</f>
        <v>25121.999999999993</v>
      </c>
      <c r="N10" s="35">
        <f>F10-лютий!F10</f>
        <v>9272.880000000005</v>
      </c>
      <c r="O10" s="47">
        <f t="shared" si="3"/>
        <v>-15849.119999999988</v>
      </c>
      <c r="P10" s="50">
        <f aca="true" t="shared" si="5" ref="P10:P42">N10/M10*100</f>
        <v>36.91139240506332</v>
      </c>
      <c r="Q10" s="132">
        <f>N10-26568.11</f>
        <v>-17295.229999999996</v>
      </c>
      <c r="R10" s="133">
        <f>N10/26568.11</f>
        <v>0.3490229451775081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-651.11</v>
      </c>
      <c r="G19" s="43">
        <f t="shared" si="0"/>
        <v>-822.31</v>
      </c>
      <c r="H19" s="35"/>
      <c r="I19" s="50">
        <f t="shared" si="1"/>
        <v>-1151.1100000000001</v>
      </c>
      <c r="J19" s="50">
        <f aca="true" t="shared" si="6" ref="J19:J30">F19/D19*100</f>
        <v>-130.22199999999998</v>
      </c>
      <c r="K19" s="50">
        <f>F19-815.68</f>
        <v>-1466.79</v>
      </c>
      <c r="L19" s="50">
        <f>F19/815.68*100</f>
        <v>-79.82419576304434</v>
      </c>
      <c r="M19" s="35">
        <f>E19-лютий!E19</f>
        <v>171.2</v>
      </c>
      <c r="N19" s="35">
        <f>F19-лютий!F19</f>
        <v>325.37</v>
      </c>
      <c r="O19" s="47">
        <f t="shared" si="3"/>
        <v>154.17000000000002</v>
      </c>
      <c r="P19" s="50"/>
      <c r="Q19" s="50">
        <f>N19-358.81</f>
        <v>-33.44</v>
      </c>
      <c r="R19" s="126">
        <f>N19/358.81</f>
        <v>0.9068030433934394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F29-751.16</f>
        <v>-1653.55</v>
      </c>
      <c r="L29" s="136">
        <f>F29/751.16*100</f>
        <v>-120.13286117471644</v>
      </c>
      <c r="M29" s="35">
        <f>E29-лютий!E29</f>
        <v>0</v>
      </c>
      <c r="N29" s="35">
        <f>F29-лютий!F29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5440</v>
      </c>
      <c r="F33" s="168">
        <v>4776.9</v>
      </c>
      <c r="G33" s="43">
        <f t="shared" si="0"/>
        <v>-663.1000000000004</v>
      </c>
      <c r="H33" s="35">
        <f t="shared" si="4"/>
        <v>87.81066176470588</v>
      </c>
      <c r="I33" s="50">
        <f t="shared" si="1"/>
        <v>-25173.1</v>
      </c>
      <c r="J33" s="178">
        <f>F33/D33*100</f>
        <v>15.949582637729549</v>
      </c>
      <c r="K33" s="179">
        <f>F33-0</f>
        <v>4776.9</v>
      </c>
      <c r="L33" s="180"/>
      <c r="M33" s="35">
        <f>E33-лютий!E33</f>
        <v>2720</v>
      </c>
      <c r="N33" s="35">
        <f>F33-лютий!F33</f>
        <v>1251.7799999999997</v>
      </c>
      <c r="O33" s="47">
        <f t="shared" si="3"/>
        <v>-1468.2200000000003</v>
      </c>
      <c r="P33" s="50">
        <f t="shared" si="5"/>
        <v>46.02132352941176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39435</v>
      </c>
      <c r="F34" s="169">
        <f>F35+F39+F41+F40</f>
        <v>39180.09000000001</v>
      </c>
      <c r="G34" s="43">
        <f t="shared" si="0"/>
        <v>-254.90999999998894</v>
      </c>
      <c r="H34" s="35">
        <f t="shared" si="4"/>
        <v>99.3535945226322</v>
      </c>
      <c r="I34" s="50">
        <f t="shared" si="1"/>
        <v>-127589.90999999999</v>
      </c>
      <c r="J34" s="178">
        <f aca="true" t="shared" si="11" ref="J34:J42">F34/D34*100</f>
        <v>23.493488037416807</v>
      </c>
      <c r="K34" s="178">
        <f>K35+K39+K40+K41</f>
        <v>-1359.3999999999996</v>
      </c>
      <c r="L34" s="136"/>
      <c r="M34" s="35">
        <f>E34-лютий!E34</f>
        <v>9974.5</v>
      </c>
      <c r="N34" s="35">
        <f>F34-лютий!F34</f>
        <v>2076.860000000015</v>
      </c>
      <c r="O34" s="47">
        <f t="shared" si="3"/>
        <v>-7897.639999999985</v>
      </c>
      <c r="P34" s="50">
        <f t="shared" si="5"/>
        <v>20.821695323073993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21387</v>
      </c>
      <c r="F35" s="169">
        <f>F36+F37+F38</f>
        <v>16565.170000000002</v>
      </c>
      <c r="G35" s="43">
        <f t="shared" si="0"/>
        <v>-4821.829999999998</v>
      </c>
      <c r="H35" s="35">
        <f t="shared" si="4"/>
        <v>77.45438817973536</v>
      </c>
      <c r="I35" s="50">
        <f t="shared" si="1"/>
        <v>-81634.83</v>
      </c>
      <c r="J35" s="178">
        <f t="shared" si="11"/>
        <v>16.86880855397149</v>
      </c>
      <c r="K35" s="178">
        <f>K36+K37+K38</f>
        <v>-2625.57</v>
      </c>
      <c r="L35" s="136"/>
      <c r="M35" s="35">
        <f>E35-лютий!E35</f>
        <v>7632.5</v>
      </c>
      <c r="N35" s="35">
        <f>F35-лютий!F35</f>
        <v>1298.380000000001</v>
      </c>
      <c r="O35" s="47">
        <f t="shared" si="3"/>
        <v>-6334.119999999999</v>
      </c>
      <c r="P35" s="50">
        <f t="shared" si="5"/>
        <v>17.011202096298735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399.45</v>
      </c>
      <c r="G36" s="135">
        <f t="shared" si="0"/>
        <v>289.45</v>
      </c>
      <c r="H36" s="137">
        <f t="shared" si="4"/>
        <v>363.1363636363636</v>
      </c>
      <c r="I36" s="136">
        <f t="shared" si="1"/>
        <v>-600.55</v>
      </c>
      <c r="J36" s="136">
        <f t="shared" si="11"/>
        <v>39.945</v>
      </c>
      <c r="K36" s="136">
        <f>F36-101.47</f>
        <v>297.98</v>
      </c>
      <c r="L36" s="136">
        <f>F36/101.47*100</f>
        <v>393.66315167044445</v>
      </c>
      <c r="M36" s="35">
        <f>E36-лютий!E36</f>
        <v>5.5</v>
      </c>
      <c r="N36" s="35">
        <f>F36-лютий!F36</f>
        <v>93.44</v>
      </c>
      <c r="O36" s="47">
        <f t="shared" si="3"/>
        <v>87.94</v>
      </c>
      <c r="P36" s="50">
        <f t="shared" si="5"/>
        <v>1698.9090909090908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6.45</v>
      </c>
      <c r="G37" s="135">
        <f t="shared" si="0"/>
        <v>6.45</v>
      </c>
      <c r="H37" s="137"/>
      <c r="I37" s="136">
        <f t="shared" si="1"/>
        <v>-1493.55</v>
      </c>
      <c r="J37" s="136">
        <f t="shared" si="11"/>
        <v>0.43</v>
      </c>
      <c r="K37" s="136">
        <f>F37-0</f>
        <v>6.45</v>
      </c>
      <c r="L37" s="136"/>
      <c r="M37" s="35">
        <f>E37-лютий!E37</f>
        <v>0</v>
      </c>
      <c r="N37" s="35">
        <f>F37-лютий!F37</f>
        <v>0.20000000000000018</v>
      </c>
      <c r="O37" s="47">
        <f t="shared" si="3"/>
        <v>0.20000000000000018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21277</v>
      </c>
      <c r="F38" s="144">
        <v>16159.27</v>
      </c>
      <c r="G38" s="135">
        <f t="shared" si="0"/>
        <v>-5117.73</v>
      </c>
      <c r="H38" s="137">
        <f t="shared" si="4"/>
        <v>75.94712600460592</v>
      </c>
      <c r="I38" s="136">
        <f t="shared" si="1"/>
        <v>-79540.73</v>
      </c>
      <c r="J38" s="136">
        <f t="shared" si="11"/>
        <v>16.88533960292581</v>
      </c>
      <c r="K38" s="139">
        <f>F38-19089.27</f>
        <v>-2930</v>
      </c>
      <c r="L38" s="139">
        <f>F38/19089.27*100</f>
        <v>84.65106313651596</v>
      </c>
      <c r="M38" s="35">
        <f>E38-лютий!E38</f>
        <v>7627</v>
      </c>
      <c r="N38" s="35">
        <f>F38-лютий!F38</f>
        <v>1204.7399999999998</v>
      </c>
      <c r="O38" s="47">
        <f t="shared" si="3"/>
        <v>-6422.26</v>
      </c>
      <c r="P38" s="50">
        <f t="shared" si="5"/>
        <v>15.795725711288839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14.22</v>
      </c>
      <c r="G39" s="43">
        <f t="shared" si="0"/>
        <v>6.220000000000001</v>
      </c>
      <c r="H39" s="35">
        <f t="shared" si="4"/>
        <v>177.75</v>
      </c>
      <c r="I39" s="50">
        <f t="shared" si="1"/>
        <v>-55.78</v>
      </c>
      <c r="J39" s="178">
        <f t="shared" si="11"/>
        <v>20.314285714285717</v>
      </c>
      <c r="K39" s="178">
        <f>F39-19.65</f>
        <v>-5.429999999999998</v>
      </c>
      <c r="L39" s="178">
        <f>F39/19.65*100</f>
        <v>72.36641221374047</v>
      </c>
      <c r="M39" s="35">
        <f>E39-лютий!E39</f>
        <v>2</v>
      </c>
      <c r="N39" s="35">
        <f>F39-лютий!F39</f>
        <v>0</v>
      </c>
      <c r="O39" s="47">
        <f t="shared" si="3"/>
        <v>-2</v>
      </c>
      <c r="P39" s="50">
        <f t="shared" si="5"/>
        <v>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73.55</v>
      </c>
      <c r="G40" s="43">
        <f t="shared" si="0"/>
        <v>73.55</v>
      </c>
      <c r="H40" s="35"/>
      <c r="I40" s="50">
        <f t="shared" si="1"/>
        <v>73.55</v>
      </c>
      <c r="J40" s="136"/>
      <c r="K40" s="178">
        <f>F40-1634.06</f>
        <v>-1560.51</v>
      </c>
      <c r="L40" s="178">
        <f>F40/1634.06*100</f>
        <v>4.501058712654371</v>
      </c>
      <c r="M40" s="35">
        <f>E40-лютий!E40</f>
        <v>0</v>
      </c>
      <c r="N40" s="35">
        <f>F40-лютий!F40</f>
        <v>-14.120000000000005</v>
      </c>
      <c r="O40" s="47">
        <f t="shared" si="3"/>
        <v>-14.120000000000005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18040</v>
      </c>
      <c r="F41" s="168">
        <v>22527.15</v>
      </c>
      <c r="G41" s="43">
        <f t="shared" si="0"/>
        <v>4487.1500000000015</v>
      </c>
      <c r="H41" s="35">
        <f t="shared" si="4"/>
        <v>124.87333702882484</v>
      </c>
      <c r="I41" s="50">
        <f t="shared" si="1"/>
        <v>-45972.85</v>
      </c>
      <c r="J41" s="178">
        <f t="shared" si="11"/>
        <v>32.886350364963505</v>
      </c>
      <c r="K41" s="132">
        <f>F41-19695.04</f>
        <v>2832.1100000000006</v>
      </c>
      <c r="L41" s="132">
        <f>F41/19695.04*100</f>
        <v>114.37981339464149</v>
      </c>
      <c r="M41" s="35">
        <f>E41-лютий!E41</f>
        <v>2340</v>
      </c>
      <c r="N41" s="35">
        <f>F41-лютий!F41</f>
        <v>792.6000000000022</v>
      </c>
      <c r="O41" s="47">
        <f t="shared" si="3"/>
        <v>-1547.3999999999978</v>
      </c>
      <c r="P41" s="50">
        <f t="shared" si="5"/>
        <v>33.87179487179496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1999.25</v>
      </c>
      <c r="G42" s="43">
        <f t="shared" si="0"/>
        <v>13.849999999999909</v>
      </c>
      <c r="H42" s="35">
        <f t="shared" si="4"/>
        <v>100.6975924247003</v>
      </c>
      <c r="I42" s="50">
        <f t="shared" si="1"/>
        <v>-5500.75</v>
      </c>
      <c r="J42" s="136">
        <f t="shared" si="11"/>
        <v>26.656666666666666</v>
      </c>
      <c r="K42" s="178">
        <f>F42-2603.75</f>
        <v>-604.5</v>
      </c>
      <c r="L42" s="178">
        <f>F42/2603.75*100</f>
        <v>76.78348535765723</v>
      </c>
      <c r="M42" s="35">
        <f>E42-лютий!E42</f>
        <v>0.3000000000001819</v>
      </c>
      <c r="N42" s="35">
        <f>F42-лютий!F42</f>
        <v>0.009999999999990905</v>
      </c>
      <c r="O42" s="47">
        <f t="shared" si="3"/>
        <v>-0.290000000000191</v>
      </c>
      <c r="P42" s="50">
        <f t="shared" si="5"/>
        <v>3.33333333332828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6166.630000000001</v>
      </c>
      <c r="G48" s="44">
        <f aca="true" t="shared" si="12" ref="G48:G81">F48-E48</f>
        <v>3130.630000000001</v>
      </c>
      <c r="H48" s="45">
        <f aca="true" t="shared" si="13" ref="H48:H59">F48/E48*100</f>
        <v>203.11693017127803</v>
      </c>
      <c r="I48" s="31">
        <f aca="true" t="shared" si="14" ref="I48:I81">F48-D48</f>
        <v>-6400.469999999999</v>
      </c>
      <c r="J48" s="31">
        <f aca="true" t="shared" si="15" ref="J48:J66">F48/D48*100</f>
        <v>49.06963420359511</v>
      </c>
      <c r="K48" s="18">
        <f>K51+K60+K61+K62+K63+K71+K72+K73+K75+K79+K70</f>
        <v>3030.71</v>
      </c>
      <c r="L48" s="18"/>
      <c r="M48" s="18">
        <f>M51+M60+M61+M62+M63+M71+M72+M73+M75+M79+M70+M69</f>
        <v>955.5</v>
      </c>
      <c r="N48" s="18">
        <f>N51+N60+N61+N62+N63+N71+N72+N73+N75+N79+N70+N69</f>
        <v>1282.93</v>
      </c>
      <c r="O48" s="49">
        <f aca="true" t="shared" si="16" ref="O48:O81">N48-M48</f>
        <v>327.43000000000006</v>
      </c>
      <c r="P48" s="31">
        <f>N48/M48*100</f>
        <v>134.26792255363685</v>
      </c>
      <c r="Q48" s="31">
        <f>N48-1017.63</f>
        <v>265.30000000000007</v>
      </c>
      <c r="R48" s="127">
        <f>N48/1017.63</f>
        <v>1.2607037921444926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F61-212.16</f>
        <v>-209.31</v>
      </c>
      <c r="L61" s="50">
        <f>F61/212.16*100</f>
        <v>1.3433257918552037</v>
      </c>
      <c r="M61" s="35">
        <f>E61-лютий!E61</f>
        <v>0</v>
      </c>
      <c r="N61" s="35">
        <f>F61-лютий!F61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21</v>
      </c>
      <c r="G63" s="43">
        <f t="shared" si="12"/>
        <v>-4</v>
      </c>
      <c r="H63" s="35">
        <f>F63/E63*100</f>
        <v>84</v>
      </c>
      <c r="I63" s="50">
        <f t="shared" si="14"/>
        <v>-119</v>
      </c>
      <c r="J63" s="50">
        <v>10</v>
      </c>
      <c r="K63" s="50">
        <f>F63-26.77</f>
        <v>-5.77</v>
      </c>
      <c r="L63" s="50">
        <f>F63/26.77*100</f>
        <v>78.44602166604409</v>
      </c>
      <c r="M63" s="35">
        <f>E63-лютий!E63</f>
        <v>9</v>
      </c>
      <c r="N63" s="35">
        <f>F63-лютий!F63</f>
        <v>4.170000000000002</v>
      </c>
      <c r="O63" s="47">
        <f t="shared" si="16"/>
        <v>-4.829999999999998</v>
      </c>
      <c r="P63" s="50">
        <f>N63/M63*100</f>
        <v>46.33333333333336</v>
      </c>
      <c r="Q63" s="50">
        <f>N63-9.02</f>
        <v>-4.849999999999998</v>
      </c>
      <c r="R63" s="126">
        <f>N63/9.02</f>
        <v>0.4623059866962308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E69-лютий!E69</f>
        <v>0</v>
      </c>
      <c r="N69" s="35">
        <f>F69-лютий!F69</f>
        <v>0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1795.98</v>
      </c>
      <c r="G70" s="43">
        <f t="shared" si="12"/>
        <v>1795.98</v>
      </c>
      <c r="H70" s="35"/>
      <c r="I70" s="50">
        <f t="shared" si="14"/>
        <v>1795.98</v>
      </c>
      <c r="J70" s="50"/>
      <c r="K70" s="50">
        <f>F70-0</f>
        <v>1795.98</v>
      </c>
      <c r="L70" s="50"/>
      <c r="M70" s="35">
        <f>E70-лютий!E70</f>
        <v>0</v>
      </c>
      <c r="N70" s="35">
        <f>F70-лютий!F70</f>
        <v>236.51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1629.69</v>
      </c>
      <c r="G72" s="43">
        <f t="shared" si="12"/>
        <v>1399.69</v>
      </c>
      <c r="H72" s="35">
        <f>F72/E72*100</f>
        <v>708.5608695652173</v>
      </c>
      <c r="I72" s="50">
        <f t="shared" si="14"/>
        <v>529.69</v>
      </c>
      <c r="J72" s="50">
        <v>90</v>
      </c>
      <c r="K72" s="50">
        <f>F72-198.87</f>
        <v>1430.8200000000002</v>
      </c>
      <c r="L72" s="50">
        <f>F72/198.87*100</f>
        <v>819.4750339417711</v>
      </c>
      <c r="M72" s="35">
        <f>E72-лютий!E72</f>
        <v>81</v>
      </c>
      <c r="N72" s="35">
        <f>F72-лютий!F72</f>
        <v>231.22000000000003</v>
      </c>
      <c r="O72" s="47">
        <f t="shared" si="16"/>
        <v>150.22000000000003</v>
      </c>
      <c r="P72" s="50">
        <f>N72/M72*100</f>
        <v>285.4567901234568</v>
      </c>
      <c r="Q72" s="50">
        <f>N72-79.51</f>
        <v>151.71000000000004</v>
      </c>
      <c r="R72" s="126">
        <f>N72/79.51</f>
        <v>2.9080618790089297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774.16</v>
      </c>
      <c r="G75" s="43">
        <f t="shared" si="12"/>
        <v>-175.84000000000003</v>
      </c>
      <c r="H75" s="35">
        <f>F75/E75*100</f>
        <v>81.49052631578947</v>
      </c>
      <c r="I75" s="50">
        <f t="shared" si="14"/>
        <v>-3425.84</v>
      </c>
      <c r="J75" s="50">
        <f>F75/D75*100</f>
        <v>18.432380952380953</v>
      </c>
      <c r="K75" s="50">
        <f>F75-913.85</f>
        <v>-139.69000000000005</v>
      </c>
      <c r="L75" s="50">
        <f>F75/913.85*100</f>
        <v>84.7141215735624</v>
      </c>
      <c r="M75" s="35">
        <f>E75-лютий!E75</f>
        <v>300</v>
      </c>
      <c r="N75" s="35">
        <f>F75-лютий!F75</f>
        <v>183.91999999999996</v>
      </c>
      <c r="O75" s="47">
        <f t="shared" si="16"/>
        <v>-116.08000000000004</v>
      </c>
      <c r="P75" s="50">
        <f t="shared" si="20"/>
        <v>61.30666666666665</v>
      </c>
      <c r="Q75" s="50">
        <f>N75-277.38</f>
        <v>-93.46000000000004</v>
      </c>
      <c r="R75" s="126">
        <f>N75/277.38</f>
        <v>0.6630615040738336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175.3</v>
      </c>
      <c r="G78" s="135">
        <f t="shared" si="12"/>
        <v>175.3</v>
      </c>
      <c r="H78" s="137"/>
      <c r="I78" s="136">
        <f t="shared" si="14"/>
        <v>175.3</v>
      </c>
      <c r="J78" s="136"/>
      <c r="K78" s="136">
        <f>F78-172.57</f>
        <v>2.730000000000018</v>
      </c>
      <c r="L78" s="138">
        <f>F78/172.57*100</f>
        <v>101.58196673813526</v>
      </c>
      <c r="M78" s="35">
        <f>E78-лютий!E78</f>
        <v>0</v>
      </c>
      <c r="N78" s="35">
        <f>F78-лютий!F78</f>
        <v>32.60000000000002</v>
      </c>
      <c r="O78" s="138">
        <f t="shared" si="16"/>
        <v>32.60000000000002</v>
      </c>
      <c r="P78" s="136"/>
      <c r="Q78" s="50">
        <f>N78-64.93</f>
        <v>-32.329999999999984</v>
      </c>
      <c r="R78" s="126">
        <f>N78/64.93</f>
        <v>0.5020791621746499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3.3</v>
      </c>
      <c r="G80" s="43">
        <f t="shared" si="12"/>
        <v>-2.9000000000000004</v>
      </c>
      <c r="H80" s="35">
        <f>F80/E80*100</f>
        <v>53.2258064516129</v>
      </c>
      <c r="I80" s="50">
        <f t="shared" si="14"/>
        <v>-23.2</v>
      </c>
      <c r="J80" s="50">
        <f>F80/D80*100</f>
        <v>12.452830188679245</v>
      </c>
      <c r="K80" s="50">
        <f>F80-5.91</f>
        <v>-2.6100000000000003</v>
      </c>
      <c r="L80" s="50">
        <f>F80/5.91*100</f>
        <v>55.83756345177665</v>
      </c>
      <c r="M80" s="35">
        <f>E80-лютий!E80</f>
        <v>2.2</v>
      </c>
      <c r="N80" s="35">
        <f>F80-лютий!F80</f>
        <v>0</v>
      </c>
      <c r="O80" s="47">
        <f t="shared" si="16"/>
        <v>-2.2</v>
      </c>
      <c r="P80" s="50">
        <f t="shared" si="20"/>
        <v>0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120138.19999999998</v>
      </c>
      <c r="F82" s="18">
        <f>F8+F48+F80+F81</f>
        <v>110451.25000000003</v>
      </c>
      <c r="G82" s="44">
        <f>F82-E82</f>
        <v>-9686.949999999953</v>
      </c>
      <c r="H82" s="45">
        <f>F82/E82*100</f>
        <v>91.93682775337074</v>
      </c>
      <c r="I82" s="31">
        <f>F82-D82</f>
        <v>-419571.35</v>
      </c>
      <c r="J82" s="31">
        <f>F82/D82*100</f>
        <v>20.83896988543508</v>
      </c>
      <c r="K82" s="31">
        <f>K8+K48+K80+K81</f>
        <v>-5489.737999999999</v>
      </c>
      <c r="L82" s="31"/>
      <c r="M82" s="18">
        <f>M8+M48+M80+M81</f>
        <v>38945.7</v>
      </c>
      <c r="N82" s="18">
        <f>N8+N48+N80+N81</f>
        <v>14209.830000000022</v>
      </c>
      <c r="O82" s="49">
        <f>N82-M82</f>
        <v>-24735.869999999974</v>
      </c>
      <c r="P82" s="31">
        <f>N82/M82*100</f>
        <v>36.4862616412082</v>
      </c>
      <c r="Q82" s="31">
        <f>N82-34768</f>
        <v>-20558.169999999976</v>
      </c>
      <c r="R82" s="171">
        <f>N82/34768</f>
        <v>0.4087042682926835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0.09</v>
      </c>
      <c r="G90" s="43">
        <f t="shared" si="21"/>
        <v>0.09</v>
      </c>
      <c r="H90" s="35"/>
      <c r="I90" s="53">
        <f t="shared" si="22"/>
        <v>-2499.91</v>
      </c>
      <c r="J90" s="53">
        <f t="shared" si="25"/>
        <v>0.0036</v>
      </c>
      <c r="K90" s="53">
        <f>F90-518.63</f>
        <v>-518.54</v>
      </c>
      <c r="L90" s="53">
        <f>F90/518.63*100</f>
        <v>0.017353411873590036</v>
      </c>
      <c r="M90" s="35">
        <f>E90-лютий!E90</f>
        <v>0</v>
      </c>
      <c r="N90" s="35">
        <f>F90-лютий!F90</f>
        <v>0.009999999999999995</v>
      </c>
      <c r="O90" s="47">
        <f t="shared" si="23"/>
        <v>0.009999999999999995</v>
      </c>
      <c r="P90" s="53"/>
      <c r="Q90" s="53">
        <f>N90-0.04</f>
        <v>-0.030000000000000006</v>
      </c>
      <c r="R90" s="129">
        <f>N90/0.04</f>
        <v>0.24999999999999986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430.12</v>
      </c>
      <c r="G91" s="43">
        <f t="shared" si="21"/>
        <v>-108.00999999999999</v>
      </c>
      <c r="H91" s="35">
        <f t="shared" si="24"/>
        <v>79.92864177800904</v>
      </c>
      <c r="I91" s="53">
        <f t="shared" si="22"/>
        <v>-11145.88</v>
      </c>
      <c r="J91" s="53">
        <f t="shared" si="25"/>
        <v>3.7156185210780928</v>
      </c>
      <c r="K91" s="53">
        <f>F91-1143.96</f>
        <v>-713.84</v>
      </c>
      <c r="L91" s="53">
        <f>F91/1143.96*100</f>
        <v>37.599216755830625</v>
      </c>
      <c r="M91" s="35">
        <f>E91-лютий!E91</f>
        <v>182.152</v>
      </c>
      <c r="N91" s="35">
        <f>F91-лютий!F91</f>
        <v>16</v>
      </c>
      <c r="O91" s="47">
        <f t="shared" si="23"/>
        <v>-166.152</v>
      </c>
      <c r="P91" s="53">
        <f>N91/M91*100</f>
        <v>8.783872809521718</v>
      </c>
      <c r="Q91" s="53">
        <f>N91-450.01</f>
        <v>-434.01</v>
      </c>
      <c r="R91" s="129">
        <f>N91/450.01</f>
        <v>0.035554765449656675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-0.37</v>
      </c>
      <c r="G92" s="43">
        <f t="shared" si="21"/>
        <v>-296.57</v>
      </c>
      <c r="H92" s="35">
        <f t="shared" si="24"/>
        <v>-0.12491559756920999</v>
      </c>
      <c r="I92" s="53">
        <f t="shared" si="22"/>
        <v>-3000.37</v>
      </c>
      <c r="J92" s="53">
        <f t="shared" si="25"/>
        <v>-0.012333333333333333</v>
      </c>
      <c r="K92" s="53">
        <f>F92-463.92</f>
        <v>-464.29</v>
      </c>
      <c r="L92" s="53">
        <f>F92/463.92*100</f>
        <v>-0.07975513019486118</v>
      </c>
      <c r="M92" s="35">
        <f>E92-лютий!E92</f>
        <v>148.1</v>
      </c>
      <c r="N92" s="35">
        <f>F92-лютий!F92</f>
        <v>1.23</v>
      </c>
      <c r="O92" s="47">
        <f t="shared" si="23"/>
        <v>-146.87</v>
      </c>
      <c r="P92" s="53">
        <f>N92/M92*100</f>
        <v>0.8305199189736665</v>
      </c>
      <c r="Q92" s="53">
        <f>N92-1.05</f>
        <v>0.17999999999999994</v>
      </c>
      <c r="R92" s="129">
        <f>N92/1.05</f>
        <v>1.1714285714285713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429.84</v>
      </c>
      <c r="G93" s="55">
        <f t="shared" si="21"/>
        <v>-404.48999999999995</v>
      </c>
      <c r="H93" s="65">
        <f t="shared" si="24"/>
        <v>51.519183057063756</v>
      </c>
      <c r="I93" s="54">
        <f t="shared" si="22"/>
        <v>-16646.16</v>
      </c>
      <c r="J93" s="54">
        <f t="shared" si="25"/>
        <v>2.5172171468728037</v>
      </c>
      <c r="K93" s="54">
        <f>F93-1606.47</f>
        <v>-1176.63</v>
      </c>
      <c r="L93" s="54">
        <f>F93/1606.47*100</f>
        <v>26.75680218117985</v>
      </c>
      <c r="M93" s="55">
        <f>M90+M91+M92</f>
        <v>330.25199999999995</v>
      </c>
      <c r="N93" s="55">
        <f>N90+N91+N92</f>
        <v>17.240000000000002</v>
      </c>
      <c r="O93" s="54">
        <f t="shared" si="23"/>
        <v>-313.01199999999994</v>
      </c>
      <c r="P93" s="54">
        <f>N93/M93*100</f>
        <v>5.220256046897522</v>
      </c>
      <c r="Q93" s="54">
        <f>N93-7985.28</f>
        <v>-7968.04</v>
      </c>
      <c r="R93" s="173">
        <f>N93/7985.28</f>
        <v>0.002158972509417328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F97-(-0.36)</f>
        <v>0.85</v>
      </c>
      <c r="L97" s="53">
        <f>F97/(-0.36)*100</f>
        <v>-136.11111111111111</v>
      </c>
      <c r="M97" s="35">
        <f>E97-лютий!E97</f>
        <v>0</v>
      </c>
      <c r="N97" s="35">
        <f>F97-лютий!F97</f>
        <v>0</v>
      </c>
      <c r="O97" s="47">
        <f>N97-M97</f>
        <v>0</v>
      </c>
      <c r="P97" s="53"/>
      <c r="Q97" s="53">
        <f>N97-(-0.21)</f>
        <v>0.21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0.49</v>
      </c>
      <c r="G98" s="55">
        <f>F98-E98</f>
        <v>-3.51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4</v>
      </c>
      <c r="N98" s="55">
        <f>N94+N97+N96</f>
        <v>0</v>
      </c>
      <c r="O98" s="54">
        <f>N98-M98</f>
        <v>-4</v>
      </c>
      <c r="P98" s="54"/>
      <c r="Q98" s="54">
        <f>N98-26.38</f>
        <v>-26.38</v>
      </c>
      <c r="R98" s="128">
        <f>N98/26.38</f>
        <v>0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5.19</v>
      </c>
      <c r="G99" s="43">
        <f>F99-E99</f>
        <v>-6.3999999999999995</v>
      </c>
      <c r="H99" s="35">
        <f>F99/E99*100</f>
        <v>44.77998274374461</v>
      </c>
      <c r="I99" s="53">
        <f>F99-D99</f>
        <v>-36.81</v>
      </c>
      <c r="J99" s="53">
        <f>F99/D99*100</f>
        <v>12.357142857142858</v>
      </c>
      <c r="K99" s="53">
        <f>F99-10.97</f>
        <v>-5.78</v>
      </c>
      <c r="L99" s="53">
        <f>F99/10.97*100</f>
        <v>47.310847766636286</v>
      </c>
      <c r="M99" s="35">
        <f>E99-лютий!E99</f>
        <v>9</v>
      </c>
      <c r="N99" s="35">
        <f>F99-лютий!F99</f>
        <v>4.23</v>
      </c>
      <c r="O99" s="47">
        <f>N99-M99</f>
        <v>-4.77</v>
      </c>
      <c r="P99" s="53">
        <f>N99/M99*100</f>
        <v>47</v>
      </c>
      <c r="Q99" s="53">
        <f>N99-0.45</f>
        <v>3.7800000000000002</v>
      </c>
      <c r="R99" s="129">
        <f>N99/0.45</f>
        <v>9.4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420.87</v>
      </c>
      <c r="G100" s="44">
        <f>F100-E100</f>
        <v>-429.04999999999995</v>
      </c>
      <c r="H100" s="45">
        <f>F100/E100*100</f>
        <v>49.51877823795181</v>
      </c>
      <c r="I100" s="31">
        <f>F100-D100</f>
        <v>-16751.13</v>
      </c>
      <c r="J100" s="31">
        <f>F100/D100*100</f>
        <v>2.450908455625437</v>
      </c>
      <c r="K100" s="31">
        <f>K88+K93+K98+K99</f>
        <v>-1198.1100000000001</v>
      </c>
      <c r="L100" s="31"/>
      <c r="M100" s="27">
        <f>M88+M99+M93+M98</f>
        <v>343.25199999999995</v>
      </c>
      <c r="N100" s="27">
        <f>N88+N99+N93+N98</f>
        <v>21.470000000000002</v>
      </c>
      <c r="O100" s="31">
        <f>N100-M100</f>
        <v>-321.7819999999999</v>
      </c>
      <c r="P100" s="31">
        <f>N100/M100*100</f>
        <v>6.2548797967673915</v>
      </c>
      <c r="Q100" s="31">
        <f>N100-8104.96</f>
        <v>-8083.49</v>
      </c>
      <c r="R100" s="127">
        <f>N100/8104.96</f>
        <v>0.0026489951831964627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120988.11999999998</v>
      </c>
      <c r="F101" s="27">
        <f>F82+F100</f>
        <v>110872.12000000002</v>
      </c>
      <c r="G101" s="44">
        <f>F101-E101</f>
        <v>-10115.999999999956</v>
      </c>
      <c r="H101" s="45">
        <f>F101/E101*100</f>
        <v>91.6388485084321</v>
      </c>
      <c r="I101" s="31">
        <f>F101-D101</f>
        <v>-436322.48</v>
      </c>
      <c r="J101" s="31">
        <f>F101/D101*100</f>
        <v>20.261917789393394</v>
      </c>
      <c r="K101" s="31">
        <f>K82+K100</f>
        <v>-6687.848</v>
      </c>
      <c r="L101" s="31"/>
      <c r="M101" s="18">
        <f>M82+M100</f>
        <v>39288.952</v>
      </c>
      <c r="N101" s="18">
        <f>N82+N100</f>
        <v>14231.300000000021</v>
      </c>
      <c r="O101" s="31">
        <f>N101-M101</f>
        <v>-25057.651999999976</v>
      </c>
      <c r="P101" s="31">
        <f>N101/M101*100</f>
        <v>36.222142041355596</v>
      </c>
      <c r="Q101" s="31">
        <f>N101-42872.96</f>
        <v>-28641.659999999978</v>
      </c>
      <c r="R101" s="127">
        <f>N101/42872.96</f>
        <v>0.3319411582498624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15</v>
      </c>
      <c r="D103" s="4" t="s">
        <v>118</v>
      </c>
    </row>
    <row r="104" spans="2:17" ht="31.5">
      <c r="B104" s="71" t="s">
        <v>154</v>
      </c>
      <c r="C104" s="34">
        <f>IF(O82&lt;0,ABS(O82/C103),0)</f>
        <v>1649.0579999999982</v>
      </c>
      <c r="D104" s="4" t="s">
        <v>104</v>
      </c>
      <c r="G104" s="207"/>
      <c r="H104" s="207"/>
      <c r="I104" s="207"/>
      <c r="J104" s="20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42073</v>
      </c>
      <c r="D105" s="34">
        <v>1111.9</v>
      </c>
      <c r="N105" s="208"/>
      <c r="O105" s="208"/>
    </row>
    <row r="106" spans="3:15" ht="15.75">
      <c r="C106" s="111">
        <v>42069</v>
      </c>
      <c r="D106" s="34">
        <v>2387.1</v>
      </c>
      <c r="F106" s="155" t="s">
        <v>166</v>
      </c>
      <c r="G106" s="209"/>
      <c r="H106" s="209"/>
      <c r="I106" s="177"/>
      <c r="J106" s="210"/>
      <c r="K106" s="210"/>
      <c r="L106" s="210"/>
      <c r="M106" s="210"/>
      <c r="N106" s="208"/>
      <c r="O106" s="208"/>
    </row>
    <row r="107" spans="3:15" ht="15.75" customHeight="1">
      <c r="C107" s="111">
        <v>42068</v>
      </c>
      <c r="D107" s="34">
        <v>2387.1</v>
      </c>
      <c r="G107" s="214" t="s">
        <v>151</v>
      </c>
      <c r="H107" s="214"/>
      <c r="I107" s="106">
        <v>8909.73221</v>
      </c>
      <c r="J107" s="215"/>
      <c r="K107" s="215"/>
      <c r="L107" s="215"/>
      <c r="M107" s="215"/>
      <c r="N107" s="208"/>
      <c r="O107" s="208"/>
    </row>
    <row r="108" spans="7:13" ht="15.75" customHeight="1">
      <c r="G108" s="216" t="s">
        <v>155</v>
      </c>
      <c r="H108" s="216"/>
      <c r="I108" s="103">
        <v>0</v>
      </c>
      <c r="J108" s="210"/>
      <c r="K108" s="210"/>
      <c r="L108" s="210"/>
      <c r="M108" s="210"/>
    </row>
    <row r="109" spans="2:13" ht="18.75" customHeight="1">
      <c r="B109" s="217" t="s">
        <v>160</v>
      </c>
      <c r="C109" s="218"/>
      <c r="D109" s="108">
        <v>133489.7492</v>
      </c>
      <c r="E109" s="73"/>
      <c r="F109" s="156" t="s">
        <v>147</v>
      </c>
      <c r="G109" s="214" t="s">
        <v>149</v>
      </c>
      <c r="H109" s="214"/>
      <c r="I109" s="107">
        <v>124580.01699</v>
      </c>
      <c r="J109" s="210"/>
      <c r="K109" s="210"/>
      <c r="L109" s="210"/>
      <c r="M109" s="210"/>
    </row>
    <row r="110" spans="7:12" ht="9.75" customHeight="1">
      <c r="G110" s="209"/>
      <c r="H110" s="209"/>
      <c r="I110" s="90"/>
      <c r="J110" s="91"/>
      <c r="K110" s="91"/>
      <c r="L110" s="91"/>
    </row>
    <row r="111" spans="2:12" ht="22.5" customHeight="1" hidden="1">
      <c r="B111" s="219" t="s">
        <v>167</v>
      </c>
      <c r="C111" s="220"/>
      <c r="D111" s="110">
        <v>0</v>
      </c>
      <c r="E111" s="70" t="s">
        <v>104</v>
      </c>
      <c r="G111" s="209"/>
      <c r="H111" s="209"/>
      <c r="I111" s="90"/>
      <c r="J111" s="91"/>
      <c r="K111" s="91"/>
      <c r="L111" s="91"/>
    </row>
    <row r="112" spans="4:15" ht="15.75">
      <c r="D112" s="105"/>
      <c r="N112" s="209"/>
      <c r="O112" s="209"/>
    </row>
    <row r="113" spans="4:15" ht="15.75">
      <c r="D113" s="104"/>
      <c r="I113" s="34"/>
      <c r="N113" s="221"/>
      <c r="O113" s="221"/>
    </row>
    <row r="114" spans="14:15" ht="15.75">
      <c r="N114" s="209"/>
      <c r="O114" s="20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7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227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205</v>
      </c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221</v>
      </c>
      <c r="N3" s="194" t="s">
        <v>202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199</v>
      </c>
      <c r="F4" s="199" t="s">
        <v>116</v>
      </c>
      <c r="G4" s="201" t="s">
        <v>200</v>
      </c>
      <c r="H4" s="203" t="s">
        <v>201</v>
      </c>
      <c r="I4" s="205" t="s">
        <v>217</v>
      </c>
      <c r="J4" s="192" t="s">
        <v>218</v>
      </c>
      <c r="K4" s="116" t="s">
        <v>172</v>
      </c>
      <c r="L4" s="121" t="s">
        <v>171</v>
      </c>
      <c r="M4" s="192"/>
      <c r="N4" s="211" t="s">
        <v>226</v>
      </c>
      <c r="O4" s="205" t="s">
        <v>136</v>
      </c>
      <c r="P4" s="213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04"/>
      <c r="I5" s="206"/>
      <c r="J5" s="193"/>
      <c r="K5" s="197" t="s">
        <v>224</v>
      </c>
      <c r="L5" s="198"/>
      <c r="M5" s="193"/>
      <c r="N5" s="212"/>
      <c r="O5" s="206"/>
      <c r="P5" s="213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07"/>
      <c r="H104" s="207"/>
      <c r="I104" s="207"/>
      <c r="J104" s="20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08"/>
      <c r="O105" s="208"/>
    </row>
    <row r="106" spans="3:15" ht="15.75">
      <c r="C106" s="111">
        <v>42061</v>
      </c>
      <c r="D106" s="34">
        <v>6003.3</v>
      </c>
      <c r="F106" s="155" t="s">
        <v>166</v>
      </c>
      <c r="G106" s="209"/>
      <c r="H106" s="209"/>
      <c r="I106" s="177"/>
      <c r="J106" s="210"/>
      <c r="K106" s="210"/>
      <c r="L106" s="210"/>
      <c r="M106" s="210"/>
      <c r="N106" s="208"/>
      <c r="O106" s="208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215"/>
      <c r="K107" s="215"/>
      <c r="L107" s="215"/>
      <c r="M107" s="215"/>
      <c r="N107" s="208"/>
      <c r="O107" s="208"/>
    </row>
    <row r="108" spans="7:13" ht="15.75" customHeight="1">
      <c r="G108" s="216" t="s">
        <v>155</v>
      </c>
      <c r="H108" s="216"/>
      <c r="I108" s="103">
        <v>0</v>
      </c>
      <c r="J108" s="210"/>
      <c r="K108" s="210"/>
      <c r="L108" s="210"/>
      <c r="M108" s="210"/>
    </row>
    <row r="109" spans="2:13" ht="18.75" customHeight="1">
      <c r="B109" s="217" t="s">
        <v>160</v>
      </c>
      <c r="C109" s="218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210"/>
      <c r="K109" s="210"/>
      <c r="L109" s="210"/>
      <c r="M109" s="210"/>
    </row>
    <row r="110" spans="7:12" ht="9.75" customHeight="1">
      <c r="G110" s="209"/>
      <c r="H110" s="209"/>
      <c r="I110" s="90"/>
      <c r="J110" s="91"/>
      <c r="K110" s="91"/>
      <c r="L110" s="91"/>
    </row>
    <row r="111" spans="2:12" ht="22.5" customHeight="1" hidden="1">
      <c r="B111" s="219" t="s">
        <v>167</v>
      </c>
      <c r="C111" s="220"/>
      <c r="D111" s="110">
        <v>0</v>
      </c>
      <c r="E111" s="70" t="s">
        <v>104</v>
      </c>
      <c r="G111" s="209"/>
      <c r="H111" s="209"/>
      <c r="I111" s="90"/>
      <c r="J111" s="91"/>
      <c r="K111" s="91"/>
      <c r="L111" s="91"/>
    </row>
    <row r="112" spans="4:15" ht="15.75">
      <c r="D112" s="105"/>
      <c r="N112" s="209"/>
      <c r="O112" s="209"/>
    </row>
    <row r="113" spans="4:15" ht="15.75">
      <c r="D113" s="104"/>
      <c r="I113" s="34"/>
      <c r="N113" s="221"/>
      <c r="O113" s="221"/>
    </row>
    <row r="114" spans="14:15" ht="15.75">
      <c r="N114" s="209"/>
      <c r="O114" s="20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4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205</v>
      </c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220</v>
      </c>
      <c r="N3" s="194" t="s">
        <v>175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219</v>
      </c>
      <c r="F4" s="199" t="s">
        <v>116</v>
      </c>
      <c r="G4" s="201" t="s">
        <v>173</v>
      </c>
      <c r="H4" s="222" t="s">
        <v>174</v>
      </c>
      <c r="I4" s="224" t="s">
        <v>217</v>
      </c>
      <c r="J4" s="227" t="s">
        <v>218</v>
      </c>
      <c r="K4" s="116" t="s">
        <v>172</v>
      </c>
      <c r="L4" s="121" t="s">
        <v>171</v>
      </c>
      <c r="M4" s="192"/>
      <c r="N4" s="211" t="s">
        <v>194</v>
      </c>
      <c r="O4" s="224" t="s">
        <v>136</v>
      </c>
      <c r="P4" s="194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23"/>
      <c r="I5" s="225"/>
      <c r="J5" s="228"/>
      <c r="K5" s="197" t="s">
        <v>188</v>
      </c>
      <c r="L5" s="198"/>
      <c r="M5" s="193"/>
      <c r="N5" s="212"/>
      <c r="O5" s="225"/>
      <c r="P5" s="194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07"/>
      <c r="H102" s="207"/>
      <c r="I102" s="207"/>
      <c r="J102" s="207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8"/>
      <c r="O103" s="208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26" t="s">
        <v>161</v>
      </c>
      <c r="K104" s="226"/>
      <c r="L104" s="226"/>
      <c r="M104" s="226"/>
      <c r="N104" s="208"/>
      <c r="O104" s="208"/>
    </row>
    <row r="105" spans="3:15" ht="15.75">
      <c r="C105" s="111">
        <v>42032</v>
      </c>
      <c r="D105" s="34">
        <v>2838.1</v>
      </c>
      <c r="G105" s="216" t="s">
        <v>155</v>
      </c>
      <c r="H105" s="216"/>
      <c r="I105" s="103">
        <f>'січень '!I140</f>
        <v>0</v>
      </c>
      <c r="J105" s="229" t="s">
        <v>162</v>
      </c>
      <c r="K105" s="229"/>
      <c r="L105" s="229"/>
      <c r="M105" s="229"/>
      <c r="N105" s="208"/>
      <c r="O105" s="208"/>
    </row>
    <row r="106" spans="7:13" ht="15.75" customHeight="1">
      <c r="G106" s="214" t="s">
        <v>148</v>
      </c>
      <c r="H106" s="214"/>
      <c r="I106" s="103">
        <f>'січень '!I141</f>
        <v>0</v>
      </c>
      <c r="J106" s="226" t="s">
        <v>163</v>
      </c>
      <c r="K106" s="226"/>
      <c r="L106" s="226"/>
      <c r="M106" s="226"/>
    </row>
    <row r="107" spans="2:13" ht="18.75" customHeight="1">
      <c r="B107" s="217" t="s">
        <v>160</v>
      </c>
      <c r="C107" s="218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26" t="s">
        <v>164</v>
      </c>
      <c r="K107" s="226"/>
      <c r="L107" s="226"/>
      <c r="M107" s="226"/>
    </row>
    <row r="108" spans="7:12" ht="9.75" customHeight="1">
      <c r="G108" s="209"/>
      <c r="H108" s="209"/>
      <c r="I108" s="90"/>
      <c r="J108" s="91"/>
      <c r="K108" s="91"/>
      <c r="L108" s="91"/>
    </row>
    <row r="109" spans="2:12" ht="22.5" customHeight="1" hidden="1">
      <c r="B109" s="219" t="s">
        <v>167</v>
      </c>
      <c r="C109" s="220"/>
      <c r="D109" s="110">
        <v>0</v>
      </c>
      <c r="E109" s="70" t="s">
        <v>104</v>
      </c>
      <c r="G109" s="209"/>
      <c r="H109" s="209"/>
      <c r="I109" s="90"/>
      <c r="J109" s="91"/>
      <c r="K109" s="91"/>
      <c r="L109" s="91"/>
    </row>
    <row r="110" spans="4:15" ht="15.75">
      <c r="D110" s="105"/>
      <c r="N110" s="209"/>
      <c r="O110" s="209"/>
    </row>
    <row r="111" spans="4:15" ht="15.75">
      <c r="D111" s="104"/>
      <c r="I111" s="34"/>
      <c r="N111" s="221"/>
      <c r="O111" s="221"/>
    </row>
    <row r="112" spans="14:15" ht="15.75">
      <c r="N112" s="209"/>
      <c r="O112" s="209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203</v>
      </c>
      <c r="C3" s="186" t="s">
        <v>0</v>
      </c>
      <c r="D3" s="187" t="s">
        <v>190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187</v>
      </c>
      <c r="N3" s="194" t="s">
        <v>175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153</v>
      </c>
      <c r="F4" s="199" t="s">
        <v>116</v>
      </c>
      <c r="G4" s="201" t="s">
        <v>173</v>
      </c>
      <c r="H4" s="222" t="s">
        <v>174</v>
      </c>
      <c r="I4" s="224" t="s">
        <v>186</v>
      </c>
      <c r="J4" s="227" t="s">
        <v>189</v>
      </c>
      <c r="K4" s="116" t="s">
        <v>172</v>
      </c>
      <c r="L4" s="121" t="s">
        <v>171</v>
      </c>
      <c r="M4" s="192"/>
      <c r="N4" s="211" t="s">
        <v>194</v>
      </c>
      <c r="O4" s="224" t="s">
        <v>136</v>
      </c>
      <c r="P4" s="194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23"/>
      <c r="I5" s="225"/>
      <c r="J5" s="228"/>
      <c r="K5" s="197" t="s">
        <v>188</v>
      </c>
      <c r="L5" s="198"/>
      <c r="M5" s="193"/>
      <c r="N5" s="212"/>
      <c r="O5" s="225"/>
      <c r="P5" s="194"/>
      <c r="Q5" s="197" t="s">
        <v>176</v>
      </c>
      <c r="R5" s="19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07"/>
      <c r="H137" s="207"/>
      <c r="I137" s="207"/>
      <c r="J137" s="20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8"/>
      <c r="O138" s="208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26" t="s">
        <v>161</v>
      </c>
      <c r="K139" s="226"/>
      <c r="L139" s="226"/>
      <c r="M139" s="226"/>
      <c r="N139" s="208"/>
      <c r="O139" s="208"/>
    </row>
    <row r="140" spans="3:15" ht="15.75">
      <c r="C140" s="111">
        <v>42032</v>
      </c>
      <c r="D140" s="34">
        <v>2838.1</v>
      </c>
      <c r="G140" s="216" t="s">
        <v>155</v>
      </c>
      <c r="H140" s="216"/>
      <c r="I140" s="103">
        <v>0</v>
      </c>
      <c r="J140" s="229" t="s">
        <v>162</v>
      </c>
      <c r="K140" s="229"/>
      <c r="L140" s="229"/>
      <c r="M140" s="229"/>
      <c r="N140" s="208"/>
      <c r="O140" s="208"/>
    </row>
    <row r="141" spans="7:13" ht="15.75" customHeight="1">
      <c r="G141" s="214" t="s">
        <v>148</v>
      </c>
      <c r="H141" s="214"/>
      <c r="I141" s="103">
        <v>0</v>
      </c>
      <c r="J141" s="226" t="s">
        <v>163</v>
      </c>
      <c r="K141" s="226"/>
      <c r="L141" s="226"/>
      <c r="M141" s="226"/>
    </row>
    <row r="142" spans="2:13" ht="18.75" customHeight="1">
      <c r="B142" s="217" t="s">
        <v>160</v>
      </c>
      <c r="C142" s="218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26" t="s">
        <v>164</v>
      </c>
      <c r="K142" s="226"/>
      <c r="L142" s="226"/>
      <c r="M142" s="226"/>
    </row>
    <row r="143" spans="7:12" ht="9.75" customHeight="1">
      <c r="G143" s="209"/>
      <c r="H143" s="209"/>
      <c r="I143" s="90"/>
      <c r="J143" s="91"/>
      <c r="K143" s="91"/>
      <c r="L143" s="91"/>
    </row>
    <row r="144" spans="2:12" ht="22.5" customHeight="1" hidden="1">
      <c r="B144" s="219" t="s">
        <v>167</v>
      </c>
      <c r="C144" s="220"/>
      <c r="D144" s="110">
        <v>0</v>
      </c>
      <c r="E144" s="70" t="s">
        <v>104</v>
      </c>
      <c r="G144" s="209"/>
      <c r="H144" s="209"/>
      <c r="I144" s="90"/>
      <c r="J144" s="91"/>
      <c r="K144" s="91"/>
      <c r="L144" s="91"/>
    </row>
    <row r="145" spans="4:15" ht="15.75">
      <c r="D145" s="105"/>
      <c r="N145" s="209"/>
      <c r="O145" s="209"/>
    </row>
    <row r="146" spans="4:15" ht="15.75">
      <c r="D146" s="104"/>
      <c r="I146" s="34"/>
      <c r="N146" s="221"/>
      <c r="O146" s="221"/>
    </row>
    <row r="147" spans="14:15" ht="15.75">
      <c r="N147" s="209"/>
      <c r="O147" s="20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2015-03-11T10:08:56Z</cp:lastPrinted>
  <dcterms:created xsi:type="dcterms:W3CDTF">2003-07-28T11:27:56Z</dcterms:created>
  <dcterms:modified xsi:type="dcterms:W3CDTF">2015-03-11T10:37:26Z</dcterms:modified>
  <cp:category/>
  <cp:version/>
  <cp:contentType/>
  <cp:contentStatus/>
</cp:coreProperties>
</file>